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2\løntilsagn\"/>
    </mc:Choice>
  </mc:AlternateContent>
  <xr:revisionPtr revIDLastSave="0" documentId="13_ncr:1_{D04A8BC5-DD3A-46AD-9DC0-E0B044A670B2}" xr6:coauthVersionLast="47" xr6:coauthVersionMax="47" xr10:uidLastSave="{00000000-0000-0000-0000-000000000000}"/>
  <bookViews>
    <workbookView xWindow="-108" yWindow="-108" windowWidth="23256" windowHeight="12456" xr2:uid="{F2BADF29-4751-41DA-9F88-4DDA3807DC6C}"/>
  </bookViews>
  <sheets>
    <sheet name="lønsammenligning" sheetId="1" r:id="rId1"/>
    <sheet name="Optælling Fredeiksberg" sheetId="2" r:id="rId2"/>
    <sheet name="fordelt i København" sheetId="3" r:id="rId3"/>
    <sheet name="løntri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7" i="1"/>
  <c r="B7" i="2"/>
  <c r="B6" i="2"/>
  <c r="E15" i="2"/>
  <c r="B5" i="2" l="1"/>
  <c r="D11" i="2" l="1"/>
  <c r="E7" i="1" l="1"/>
  <c r="I7" i="1"/>
  <c r="G7" i="1"/>
  <c r="G6" i="1"/>
  <c r="I6" i="1"/>
  <c r="H6" i="1"/>
  <c r="J6" i="1"/>
  <c r="F6" i="1"/>
  <c r="E6" i="1"/>
  <c r="C6" i="1"/>
  <c r="D6" i="1"/>
  <c r="E3" i="4"/>
  <c r="B3" i="4"/>
  <c r="J7" i="1"/>
  <c r="H7" i="1"/>
  <c r="F7" i="1"/>
  <c r="D7" i="1"/>
  <c r="B8" i="4"/>
  <c r="B6" i="4"/>
  <c r="B4" i="4"/>
  <c r="B7" i="4"/>
  <c r="B5" i="4"/>
  <c r="A5" i="4"/>
  <c r="D26" i="2"/>
  <c r="D28" i="2" s="1"/>
  <c r="E29" i="2" s="1"/>
  <c r="D77" i="2"/>
  <c r="D70" i="2"/>
  <c r="D69" i="2"/>
  <c r="D62" i="2"/>
  <c r="D61" i="2"/>
  <c r="D54" i="2"/>
  <c r="D56" i="2" s="1"/>
  <c r="D47" i="2"/>
  <c r="D49" i="2" s="1"/>
  <c r="E50" i="2" s="1"/>
  <c r="D40" i="2"/>
  <c r="D42" i="2" s="1"/>
  <c r="E43" i="2" s="1"/>
  <c r="D33" i="2"/>
  <c r="D19" i="2"/>
  <c r="D21" i="2" s="1"/>
  <c r="E22" i="2" s="1"/>
  <c r="D12" i="2"/>
  <c r="D64" i="2" l="1"/>
  <c r="E65" i="2" s="1"/>
  <c r="D79" i="2"/>
  <c r="E80" i="2" s="1"/>
  <c r="D72" i="2"/>
  <c r="E73" i="2" s="1"/>
  <c r="E57" i="2"/>
  <c r="D35" i="2"/>
  <c r="E36" i="2" s="1"/>
  <c r="D14" i="2"/>
  <c r="E9" i="1"/>
  <c r="I9" i="1"/>
  <c r="G9" i="1"/>
  <c r="C9" i="1"/>
  <c r="D9" i="1" l="1"/>
  <c r="C10" i="1" s="1"/>
  <c r="D11" i="1" s="1"/>
  <c r="J8" i="1" l="1"/>
  <c r="J9" i="1" s="1"/>
  <c r="I10" i="1" s="1"/>
  <c r="J11" i="1" s="1"/>
  <c r="H8" i="1"/>
  <c r="H9" i="1" s="1"/>
  <c r="G10" i="1" s="1"/>
  <c r="H11" i="1" s="1"/>
  <c r="F8" i="1"/>
  <c r="F9" i="1" s="1"/>
  <c r="E10" i="1" s="1"/>
  <c r="F11" i="1" s="1"/>
</calcChain>
</file>

<file path=xl/sharedStrings.xml><?xml version="1.0" encoding="utf-8"?>
<sst xmlns="http://schemas.openxmlformats.org/spreadsheetml/2006/main" count="179" uniqueCount="81">
  <si>
    <t>Kbh</t>
  </si>
  <si>
    <t>Frb</t>
  </si>
  <si>
    <t>0 år</t>
  </si>
  <si>
    <t>4 år</t>
  </si>
  <si>
    <t>8 år</t>
  </si>
  <si>
    <t>12 år</t>
  </si>
  <si>
    <t>Overrnskomstbestemt løn inkl Uvtillæg</t>
  </si>
  <si>
    <t>I alt</t>
  </si>
  <si>
    <t>forskel</t>
  </si>
  <si>
    <t>forskel år</t>
  </si>
  <si>
    <t xml:space="preserve">Fordelt udover forhåndsaftale </t>
  </si>
  <si>
    <t>tilsyn</t>
  </si>
  <si>
    <t>årsværk</t>
  </si>
  <si>
    <t>Tillægsstørrelse (00)</t>
  </si>
  <si>
    <t>navn</t>
  </si>
  <si>
    <t>Sum (00)</t>
  </si>
  <si>
    <t>i alt</t>
  </si>
  <si>
    <t>DU</t>
  </si>
  <si>
    <t>GR</t>
  </si>
  <si>
    <t>LC</t>
  </si>
  <si>
    <t>LI</t>
  </si>
  <si>
    <t>NH</t>
  </si>
  <si>
    <t>NY</t>
  </si>
  <si>
    <t xml:space="preserve">Nyelandsvej tillæg </t>
  </si>
  <si>
    <t>SM</t>
  </si>
  <si>
    <t>SØ</t>
  </si>
  <si>
    <t>TFS</t>
  </si>
  <si>
    <t xml:space="preserve">samarbejdstillæg </t>
  </si>
  <si>
    <t>Københavnertillæg</t>
  </si>
  <si>
    <t>1 løntrin</t>
  </si>
  <si>
    <t xml:space="preserve">Københavnertillæg - rekurttering og fastholdelse </t>
  </si>
  <si>
    <t xml:space="preserve">3 trin </t>
  </si>
  <si>
    <t>de tillæg alle får (undtagen fast ovearvejdstillg)</t>
  </si>
  <si>
    <t>Forhaandsaftale_KBH_2022-03-29_underskrevet.pdf (klfnet.dk)</t>
  </si>
  <si>
    <t>BÜ</t>
  </si>
  <si>
    <t>antal årsværk</t>
  </si>
  <si>
    <t xml:space="preserve">samlet forhandlet beløb </t>
  </si>
  <si>
    <t>Andel pr person</t>
  </si>
  <si>
    <t xml:space="preserve">aktuel omregningsfaktor </t>
  </si>
  <si>
    <t xml:space="preserve"> </t>
  </si>
  <si>
    <t>bruges i udregning af lønsammensætning</t>
  </si>
  <si>
    <t>31-35</t>
  </si>
  <si>
    <t>35-39</t>
  </si>
  <si>
    <t>40-44</t>
  </si>
  <si>
    <t>,</t>
  </si>
  <si>
    <t>Forudsætning: Alm folkeskolelærer uden anden efteruddannelse, uden særlige funktioner. Uden højt undervisningstillæg. Ikke specialskole</t>
  </si>
  <si>
    <t>Kommunalt kollektivt tillæg (forhåndsaftaæt eller forhandlet på skolen)</t>
  </si>
  <si>
    <t>Grundlønstillæg 3000</t>
  </si>
  <si>
    <t>UV.tillæg 13000</t>
  </si>
  <si>
    <t>Samarbejdstillæg 8000</t>
  </si>
  <si>
    <t xml:space="preserve">Ulempetillæg </t>
  </si>
  <si>
    <t>Ulempetillæg 1600</t>
  </si>
  <si>
    <t>Rek. Fastholdelse 3 trin</t>
  </si>
  <si>
    <t>Kbh. rtillæg 1700</t>
  </si>
  <si>
    <t>Almentillæg 4800</t>
  </si>
  <si>
    <t>Udvikling af folk. Kerneydd 12800</t>
  </si>
  <si>
    <t xml:space="preserve">Løntrin 31 </t>
  </si>
  <si>
    <t>Løntrin 35</t>
  </si>
  <si>
    <t>Kbh. tillæg 1700</t>
  </si>
  <si>
    <t>Kbh. tillæg 1 trin</t>
  </si>
  <si>
    <t>Løntrin 40</t>
  </si>
  <si>
    <t>Grundlønstillæg 10000</t>
  </si>
  <si>
    <t>udvikling af fremtidens BÜ</t>
  </si>
  <si>
    <t>arbejde med skolen udvikling</t>
  </si>
  <si>
    <t>Deltagelsesmuligheder og fællesskabende didaktikker</t>
  </si>
  <si>
    <t xml:space="preserve"> Deltagelsesmuligheder for alle </t>
  </si>
  <si>
    <t>Forberedelse modernisering Lindevangskolen</t>
  </si>
  <si>
    <t>Udvikling af inkluderende læringsmiljø</t>
  </si>
  <si>
    <t xml:space="preserve">Flexibilitet ifm. ombygning </t>
  </si>
  <si>
    <t xml:space="preserve">Søndermarken tillæg </t>
  </si>
  <si>
    <t>Teamsamarbejder</t>
  </si>
  <si>
    <t>Morgensang/fællessamling</t>
  </si>
  <si>
    <t>Fokus på indsatser iflg. Skoleplanen</t>
  </si>
  <si>
    <t>forhandlede kollektive tillæg pr. skole</t>
  </si>
  <si>
    <t>kollektive løndele i central overenskomt</t>
  </si>
  <si>
    <t xml:space="preserve">kollektive løndele i forhåndsaftaler </t>
  </si>
  <si>
    <t>Gens. andel af kollektive lønkroner til forhandling på den enkelte skole</t>
  </si>
  <si>
    <t>Løntrin 31</t>
  </si>
  <si>
    <t xml:space="preserve">Overblik over af den løn, man er sikret så snart man træder ind ad døren - uden hæjt uv.tillæg og evt. individuelkt forhandlet løn eller løn for særlige funktioner </t>
  </si>
  <si>
    <t>Løn pr 1/03-2026</t>
  </si>
  <si>
    <t>fremskrivningsfaktor: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</si>
</sst>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.&quot;* #,##0.00_);_(&quot;kr.&quot;* \(#,##0.00\);_(&quot;kr.&quot;* &quot;-&quot;??_);_(@_)"/>
    <numFmt numFmtId="165" formatCode="_-* #,##0.00\ [$kr.-406]_-;\-* #,##0.00\ [$kr.-406]_-;_-* &quot;-&quot;??\ [$kr.-406]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9"/>
      <color rgb="FF242424"/>
      <name val="Aptos Narrow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165" fontId="0" fillId="2" borderId="1" xfId="0" applyNumberFormat="1" applyFill="1" applyBorder="1"/>
    <xf numFmtId="0" fontId="1" fillId="0" borderId="1" xfId="0" applyFont="1" applyBorder="1"/>
    <xf numFmtId="0" fontId="0" fillId="4" borderId="1" xfId="0" applyFill="1" applyBorder="1"/>
    <xf numFmtId="0" fontId="2" fillId="4" borderId="1" xfId="0" applyFont="1" applyFill="1" applyBorder="1"/>
    <xf numFmtId="165" fontId="2" fillId="4" borderId="1" xfId="0" applyNumberFormat="1" applyFont="1" applyFill="1" applyBorder="1"/>
    <xf numFmtId="165" fontId="1" fillId="0" borderId="0" xfId="0" applyNumberFormat="1" applyFont="1"/>
    <xf numFmtId="0" fontId="4" fillId="0" borderId="0" xfId="0" applyFont="1"/>
    <xf numFmtId="165" fontId="2" fillId="6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1" fillId="7" borderId="1" xfId="0" applyFont="1" applyFill="1" applyBorder="1"/>
    <xf numFmtId="165" fontId="1" fillId="7" borderId="1" xfId="0" applyNumberFormat="1" applyFont="1" applyFill="1" applyBorder="1"/>
    <xf numFmtId="165" fontId="2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11" fillId="0" borderId="0" xfId="0" applyFont="1"/>
    <xf numFmtId="164" fontId="0" fillId="0" borderId="0" xfId="1" applyFont="1"/>
    <xf numFmtId="164" fontId="11" fillId="0" borderId="0" xfId="1" applyFont="1"/>
    <xf numFmtId="164" fontId="6" fillId="0" borderId="0" xfId="1" applyFont="1" applyAlignment="1">
      <alignment horizontal="right"/>
    </xf>
    <xf numFmtId="164" fontId="10" fillId="0" borderId="0" xfId="1" applyFont="1"/>
    <xf numFmtId="0" fontId="12" fillId="0" borderId="0" xfId="2"/>
    <xf numFmtId="0" fontId="13" fillId="0" borderId="0" xfId="0" applyFont="1"/>
    <xf numFmtId="0" fontId="0" fillId="0" borderId="0" xfId="1" applyNumberFormat="1" applyFont="1"/>
    <xf numFmtId="164" fontId="0" fillId="0" borderId="0" xfId="0" applyNumberFormat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64" fontId="16" fillId="0" borderId="0" xfId="0" applyNumberFormat="1" applyFont="1"/>
    <xf numFmtId="164" fontId="15" fillId="0" borderId="0" xfId="1" applyFont="1" applyBorder="1"/>
    <xf numFmtId="164" fontId="2" fillId="0" borderId="0" xfId="1" applyFont="1" applyBorder="1"/>
    <xf numFmtId="2" fontId="17" fillId="0" borderId="0" xfId="0" applyNumberFormat="1" applyFont="1"/>
    <xf numFmtId="165" fontId="0" fillId="8" borderId="1" xfId="0" applyNumberFormat="1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0" xfId="0" applyAlignment="1">
      <alignment horizontal="right"/>
    </xf>
    <xf numFmtId="0" fontId="18" fillId="0" borderId="0" xfId="0" applyFont="1"/>
    <xf numFmtId="0" fontId="0" fillId="9" borderId="5" xfId="0" applyFill="1" applyBorder="1" applyAlignment="1">
      <alignment horizontal="left" vertical="top"/>
    </xf>
    <xf numFmtId="0" fontId="0" fillId="9" borderId="4" xfId="0" applyFill="1" applyBorder="1" applyAlignment="1">
      <alignment horizontal="left" vertical="top"/>
    </xf>
    <xf numFmtId="0" fontId="0" fillId="9" borderId="6" xfId="0" applyFill="1" applyBorder="1" applyAlignment="1">
      <alignment horizontal="left" vertical="top"/>
    </xf>
    <xf numFmtId="0" fontId="0" fillId="10" borderId="5" xfId="0" applyFill="1" applyBorder="1" applyAlignment="1">
      <alignment horizontal="left" vertical="top"/>
    </xf>
    <xf numFmtId="0" fontId="0" fillId="10" borderId="4" xfId="0" applyFill="1" applyBorder="1" applyAlignment="1">
      <alignment horizontal="left" vertical="top"/>
    </xf>
    <xf numFmtId="0" fontId="0" fillId="10" borderId="6" xfId="0" applyFill="1" applyBorder="1" applyAlignment="1">
      <alignment horizontal="left" vertical="top"/>
    </xf>
    <xf numFmtId="165" fontId="1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3">
    <cellStyle name="Li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C6E0B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klfnet.dk/fileadmin/6._Loen_og_ansaettelse/Forhaandsaftaler/Forhaandsaftale_KBH_2022-03-29_underskreve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6538-D437-4023-B53C-3F755D223D58}">
  <sheetPr>
    <pageSetUpPr fitToPage="1"/>
  </sheetPr>
  <dimension ref="A1:K23"/>
  <sheetViews>
    <sheetView tabSelected="1" topLeftCell="C1" zoomScale="91" workbookViewId="0">
      <selection activeCell="I1" sqref="I1"/>
    </sheetView>
  </sheetViews>
  <sheetFormatPr defaultRowHeight="14.4" x14ac:dyDescent="0.3"/>
  <cols>
    <col min="1" max="1" width="58.77734375" customWidth="1"/>
    <col min="2" max="2" width="5.21875" customWidth="1"/>
    <col min="3" max="3" width="20.88671875" bestFit="1" customWidth="1"/>
    <col min="4" max="4" width="30.21875" bestFit="1" customWidth="1"/>
    <col min="5" max="5" width="20.88671875" bestFit="1" customWidth="1"/>
    <col min="6" max="6" width="30.21875" bestFit="1" customWidth="1"/>
    <col min="7" max="7" width="20.88671875" bestFit="1" customWidth="1"/>
    <col min="8" max="8" width="30.21875" bestFit="1" customWidth="1"/>
    <col min="9" max="9" width="20.88671875" bestFit="1" customWidth="1"/>
    <col min="10" max="10" width="30.21875" bestFit="1" customWidth="1"/>
    <col min="11" max="11" width="21.109375" customWidth="1"/>
    <col min="16" max="16" width="17" bestFit="1" customWidth="1"/>
    <col min="17" max="45" width="13.44140625" bestFit="1" customWidth="1"/>
    <col min="46" max="46" width="16" bestFit="1" customWidth="1"/>
    <col min="47" max="47" width="14.44140625" bestFit="1" customWidth="1"/>
    <col min="48" max="50" width="13.44140625" bestFit="1" customWidth="1"/>
    <col min="51" max="51" width="16.77734375" customWidth="1"/>
    <col min="52" max="52" width="15.77734375" customWidth="1"/>
  </cols>
  <sheetData>
    <row r="1" spans="1:11" x14ac:dyDescent="0.3">
      <c r="I1" t="s">
        <v>80</v>
      </c>
      <c r="J1">
        <v>1.6212009999999999</v>
      </c>
    </row>
    <row r="2" spans="1:11" ht="21" x14ac:dyDescent="0.4">
      <c r="A2" s="42" t="s">
        <v>78</v>
      </c>
      <c r="J2" s="10"/>
    </row>
    <row r="3" spans="1:11" x14ac:dyDescent="0.3">
      <c r="A3" s="1" t="s">
        <v>79</v>
      </c>
    </row>
    <row r="4" spans="1:11" x14ac:dyDescent="0.3">
      <c r="A4" s="2"/>
      <c r="B4" s="2"/>
      <c r="C4" s="51" t="s">
        <v>2</v>
      </c>
      <c r="D4" s="52"/>
      <c r="E4" s="51" t="s">
        <v>3</v>
      </c>
      <c r="F4" s="52"/>
      <c r="G4" s="51" t="s">
        <v>4</v>
      </c>
      <c r="H4" s="52"/>
      <c r="I4" s="51" t="s">
        <v>5</v>
      </c>
      <c r="J4" s="52"/>
    </row>
    <row r="5" spans="1:11" x14ac:dyDescent="0.3">
      <c r="A5" s="2"/>
      <c r="B5" s="12"/>
      <c r="C5" s="7" t="s">
        <v>0</v>
      </c>
      <c r="D5" s="3" t="s">
        <v>1</v>
      </c>
      <c r="E5" s="6" t="s">
        <v>0</v>
      </c>
      <c r="F5" s="3" t="s">
        <v>1</v>
      </c>
      <c r="G5" s="6" t="s">
        <v>0</v>
      </c>
      <c r="H5" s="3" t="s">
        <v>1</v>
      </c>
      <c r="I5" s="6" t="s">
        <v>0</v>
      </c>
      <c r="J5" s="3" t="s">
        <v>1</v>
      </c>
    </row>
    <row r="6" spans="1:11" x14ac:dyDescent="0.3">
      <c r="A6" s="2" t="s">
        <v>6</v>
      </c>
      <c r="B6" s="12"/>
      <c r="C6" s="8">
        <f>(løntrin!B3*lønsammenligning!$J$1)+((3000*$J$1)/12)+((13000*$J$1)/12)+((4800*$J$1)/12)</f>
        <v>36186.106188928934</v>
      </c>
      <c r="D6" s="11">
        <f>(løntrin!B3*lønsammenligning!$J$1)+((3000*$J$1)/12)+((13000*$J$1)/12)+((4800*$J$1)/12)</f>
        <v>36186.106188928934</v>
      </c>
      <c r="E6" s="8">
        <f>(løntrin!B5*lønsammenligning!$J$1)+((3000*$J$1)/12)+((13000*$J$1)/12)+((4800*$J$1)/12)</f>
        <v>38129.241090680036</v>
      </c>
      <c r="F6" s="11">
        <f>(løntrin!B5*lønsammenligning!$J$1)+((3000*$J$1)/12)+((13000*$J$1)/12)+((4800*$J$1)/12)</f>
        <v>38129.241090680036</v>
      </c>
      <c r="G6" s="8">
        <f>(løntrin!B7*J1)+((13000*$J$1)/12)++((4800*$J$1)/12)</f>
        <v>40384.638041648592</v>
      </c>
      <c r="H6" s="11">
        <f>(løntrin!B7*J1)+((13000*$J$1)/12)+((4800*$J$1)/12)</f>
        <v>40384.638041648592</v>
      </c>
      <c r="I6" s="8">
        <f>(løntrin!B7*J1)+((13000*$J$1)/12)+((4800*$J$1)/12)+((10000*$J$1)/12)</f>
        <v>41735.638874981923</v>
      </c>
      <c r="J6" s="11">
        <f>(løntrin!B7*J1)+((10000*J1)/12)+((13000*$J$1)/12)+((4800*$J$1)/12)</f>
        <v>41735.638874981923</v>
      </c>
    </row>
    <row r="7" spans="1:11" x14ac:dyDescent="0.3">
      <c r="A7" s="2" t="s">
        <v>46</v>
      </c>
      <c r="B7" s="12"/>
      <c r="C7" s="8">
        <f>(løntrin!B4*J1)+((8000*$J$1)/12)+((1600*$J$1)/12)+((1700*$J$1)/12)</f>
        <v>3469.7622366708833</v>
      </c>
      <c r="D7" s="16">
        <f>((12800*$J$1/12))</f>
        <v>1729.2810666666664</v>
      </c>
      <c r="E7" s="8">
        <f>(løntrin!B6*J1)+((8000*$J$1)/12)+((1600*$J$1)/12)+((1700*$J$1)/12)</f>
        <v>3639.10261118986</v>
      </c>
      <c r="F7" s="16">
        <f>((12800*$J$1/12))</f>
        <v>1729.2810666666664</v>
      </c>
      <c r="G7" s="8">
        <f>(løntrin!B8*J1)+((8000*$J$1)/12)+((1600*$J$1)/12)</f>
        <v>4179.4729363888791</v>
      </c>
      <c r="H7" s="16">
        <f>((12800*$J$1/12))</f>
        <v>1729.2810666666664</v>
      </c>
      <c r="I7" s="8">
        <f>(løntrin!B8*J1)+((8000*$J$1)/12)+((1600*$J$1)/12)</f>
        <v>4179.4729363888791</v>
      </c>
      <c r="J7" s="16">
        <f>((12800*$J$1/12))</f>
        <v>1729.2810666666664</v>
      </c>
    </row>
    <row r="8" spans="1:11" x14ac:dyDescent="0.3">
      <c r="A8" s="2" t="s">
        <v>76</v>
      </c>
      <c r="B8" s="12"/>
      <c r="C8" s="8"/>
      <c r="D8" s="38">
        <f>('Optælling Fredeiksberg'!$B$7*$J$1)/12</f>
        <v>367.31943054298614</v>
      </c>
      <c r="E8" s="8"/>
      <c r="F8" s="38">
        <f>('Optælling Fredeiksberg'!$B$7*$J$1)/12</f>
        <v>367.31943054298614</v>
      </c>
      <c r="G8" s="8"/>
      <c r="H8" s="38">
        <f>('Optælling Fredeiksberg'!$B$7*$J$1)/12</f>
        <v>367.31943054298614</v>
      </c>
      <c r="I8" s="8"/>
      <c r="J8" s="38">
        <f>('Optælling Fredeiksberg'!$B$7*$J$1)/12</f>
        <v>367.31943054298614</v>
      </c>
    </row>
    <row r="9" spans="1:11" ht="15" customHeight="1" x14ac:dyDescent="0.3">
      <c r="A9" s="2" t="s">
        <v>7</v>
      </c>
      <c r="B9" s="12"/>
      <c r="C9" s="8">
        <f t="shared" ref="C9:J9" si="0">SUM(C6:C8)</f>
        <v>39655.868425599816</v>
      </c>
      <c r="D9" s="4">
        <f t="shared" si="0"/>
        <v>38282.70668613859</v>
      </c>
      <c r="E9" s="8">
        <f t="shared" si="0"/>
        <v>41768.343701869897</v>
      </c>
      <c r="F9" s="4">
        <f t="shared" si="0"/>
        <v>40225.841587889685</v>
      </c>
      <c r="G9" s="8">
        <f t="shared" si="0"/>
        <v>44564.110978037468</v>
      </c>
      <c r="H9" s="4">
        <f t="shared" si="0"/>
        <v>42481.238538858241</v>
      </c>
      <c r="I9" s="8">
        <f t="shared" si="0"/>
        <v>45915.1118113708</v>
      </c>
      <c r="J9" s="4">
        <f t="shared" si="0"/>
        <v>43832.23937219158</v>
      </c>
    </row>
    <row r="10" spans="1:11" x14ac:dyDescent="0.3">
      <c r="A10" s="5" t="s">
        <v>8</v>
      </c>
      <c r="B10" s="13"/>
      <c r="C10" s="50">
        <f>C9-D9</f>
        <v>1373.1617394612258</v>
      </c>
      <c r="D10" s="50"/>
      <c r="E10" s="49">
        <f>E9-F9</f>
        <v>1542.502113980212</v>
      </c>
      <c r="F10" s="49"/>
      <c r="G10" s="49">
        <f>G9-H9</f>
        <v>2082.8724391792275</v>
      </c>
      <c r="H10" s="49"/>
      <c r="I10" s="49">
        <f>I9-J9</f>
        <v>2082.8724391792202</v>
      </c>
      <c r="J10" s="49"/>
      <c r="K10" s="9"/>
    </row>
    <row r="11" spans="1:11" s="1" customFormat="1" ht="14.25" customHeight="1" x14ac:dyDescent="0.3">
      <c r="A11" s="5" t="s">
        <v>9</v>
      </c>
      <c r="B11" s="5"/>
      <c r="C11" s="14"/>
      <c r="D11" s="15">
        <f>C10*12</f>
        <v>16477.94087353471</v>
      </c>
      <c r="E11" s="14"/>
      <c r="F11" s="15">
        <f>E10*12</f>
        <v>18510.025367762544</v>
      </c>
      <c r="G11" s="14"/>
      <c r="H11" s="15">
        <f>G10*12</f>
        <v>24994.46927015073</v>
      </c>
      <c r="I11" s="14"/>
      <c r="J11" s="15">
        <f>I10*12</f>
        <v>24994.469270150643</v>
      </c>
    </row>
    <row r="13" spans="1:11" x14ac:dyDescent="0.3">
      <c r="A13" s="43" t="s">
        <v>74</v>
      </c>
      <c r="B13" s="2"/>
      <c r="C13" s="39" t="s">
        <v>77</v>
      </c>
      <c r="D13" s="39" t="s">
        <v>56</v>
      </c>
      <c r="E13" s="39" t="s">
        <v>57</v>
      </c>
      <c r="F13" s="39" t="s">
        <v>57</v>
      </c>
      <c r="G13" s="39" t="s">
        <v>60</v>
      </c>
      <c r="H13" s="39" t="s">
        <v>60</v>
      </c>
      <c r="I13" s="39" t="s">
        <v>60</v>
      </c>
      <c r="J13" s="39" t="s">
        <v>60</v>
      </c>
    </row>
    <row r="14" spans="1:11" x14ac:dyDescent="0.3">
      <c r="A14" s="44"/>
      <c r="B14" s="2"/>
      <c r="C14" s="39" t="s">
        <v>47</v>
      </c>
      <c r="D14" s="39" t="s">
        <v>47</v>
      </c>
      <c r="E14" s="39" t="s">
        <v>47</v>
      </c>
      <c r="F14" s="39" t="s">
        <v>47</v>
      </c>
      <c r="G14" s="39" t="s">
        <v>48</v>
      </c>
      <c r="H14" s="39" t="s">
        <v>48</v>
      </c>
      <c r="I14" s="39" t="s">
        <v>61</v>
      </c>
      <c r="J14" s="39" t="s">
        <v>61</v>
      </c>
    </row>
    <row r="15" spans="1:11" x14ac:dyDescent="0.3">
      <c r="A15" s="44"/>
      <c r="B15" s="2"/>
      <c r="C15" s="39" t="s">
        <v>48</v>
      </c>
      <c r="D15" s="39" t="s">
        <v>48</v>
      </c>
      <c r="E15" s="39" t="s">
        <v>48</v>
      </c>
      <c r="F15" s="39" t="s">
        <v>48</v>
      </c>
      <c r="G15" s="39" t="s">
        <v>54</v>
      </c>
      <c r="H15" s="39" t="s">
        <v>54</v>
      </c>
      <c r="I15" s="39" t="s">
        <v>48</v>
      </c>
      <c r="J15" s="39" t="s">
        <v>48</v>
      </c>
    </row>
    <row r="16" spans="1:11" x14ac:dyDescent="0.3">
      <c r="A16" s="45"/>
      <c r="B16" s="2"/>
      <c r="C16" s="39" t="s">
        <v>54</v>
      </c>
      <c r="D16" s="39" t="s">
        <v>54</v>
      </c>
      <c r="E16" s="39" t="s">
        <v>54</v>
      </c>
      <c r="F16" s="39" t="s">
        <v>54</v>
      </c>
      <c r="G16" s="2"/>
      <c r="H16" s="2"/>
      <c r="I16" s="39" t="s">
        <v>54</v>
      </c>
      <c r="J16" s="39" t="s">
        <v>54</v>
      </c>
    </row>
    <row r="17" spans="1:10" x14ac:dyDescent="0.3">
      <c r="A17" s="46" t="s">
        <v>75</v>
      </c>
      <c r="B17" s="2"/>
      <c r="C17" s="40" t="s">
        <v>49</v>
      </c>
      <c r="D17" s="40" t="s">
        <v>55</v>
      </c>
      <c r="E17" s="40" t="s">
        <v>49</v>
      </c>
      <c r="F17" s="40" t="s">
        <v>55</v>
      </c>
      <c r="G17" s="40" t="s">
        <v>49</v>
      </c>
      <c r="H17" s="40" t="s">
        <v>55</v>
      </c>
      <c r="I17" s="40" t="s">
        <v>49</v>
      </c>
      <c r="J17" s="40" t="s">
        <v>55</v>
      </c>
    </row>
    <row r="18" spans="1:10" x14ac:dyDescent="0.3">
      <c r="A18" s="47"/>
      <c r="B18" s="2"/>
      <c r="C18" s="40" t="s">
        <v>51</v>
      </c>
      <c r="D18" s="2"/>
      <c r="E18" s="40" t="s">
        <v>51</v>
      </c>
      <c r="F18" s="2"/>
      <c r="G18" s="40" t="s">
        <v>51</v>
      </c>
      <c r="H18" s="2"/>
      <c r="I18" s="40" t="s">
        <v>51</v>
      </c>
      <c r="J18" s="2"/>
    </row>
    <row r="19" spans="1:10" x14ac:dyDescent="0.3">
      <c r="A19" s="47"/>
      <c r="B19" s="2"/>
      <c r="C19" s="40" t="s">
        <v>52</v>
      </c>
      <c r="D19" s="2"/>
      <c r="E19" s="40" t="s">
        <v>52</v>
      </c>
      <c r="F19" s="2"/>
      <c r="G19" s="40" t="s">
        <v>52</v>
      </c>
      <c r="H19" s="2"/>
      <c r="I19" s="40" t="s">
        <v>52</v>
      </c>
      <c r="J19" s="2"/>
    </row>
    <row r="20" spans="1:10" x14ac:dyDescent="0.3">
      <c r="A20" s="47"/>
      <c r="B20" s="2"/>
      <c r="C20" s="40" t="s">
        <v>59</v>
      </c>
      <c r="D20" s="2"/>
      <c r="E20" s="40" t="s">
        <v>59</v>
      </c>
      <c r="F20" s="2"/>
      <c r="G20" s="40" t="s">
        <v>59</v>
      </c>
      <c r="H20" s="2"/>
      <c r="I20" s="40" t="s">
        <v>59</v>
      </c>
      <c r="J20" s="2"/>
    </row>
    <row r="21" spans="1:10" x14ac:dyDescent="0.3">
      <c r="A21" s="48"/>
      <c r="B21" s="2"/>
      <c r="C21" s="40" t="s">
        <v>58</v>
      </c>
      <c r="D21" s="2"/>
      <c r="E21" s="40" t="s">
        <v>53</v>
      </c>
      <c r="F21" s="2"/>
      <c r="G21" s="2"/>
      <c r="H21" s="2"/>
      <c r="I21" s="2"/>
      <c r="J21" s="2"/>
    </row>
    <row r="23" spans="1:10" x14ac:dyDescent="0.3">
      <c r="A23" t="s">
        <v>45</v>
      </c>
    </row>
  </sheetData>
  <mergeCells count="10">
    <mergeCell ref="C4:D4"/>
    <mergeCell ref="E4:F4"/>
    <mergeCell ref="G4:H4"/>
    <mergeCell ref="I4:J4"/>
    <mergeCell ref="A13:A16"/>
    <mergeCell ref="A17:A21"/>
    <mergeCell ref="I10:J10"/>
    <mergeCell ref="G10:H10"/>
    <mergeCell ref="E10:F10"/>
    <mergeCell ref="C10:D10"/>
  </mergeCells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8274-C59E-4461-8F29-88C2159D7D1D}">
  <dimension ref="A2:E80"/>
  <sheetViews>
    <sheetView workbookViewId="0">
      <selection activeCell="B7" sqref="B7"/>
    </sheetView>
  </sheetViews>
  <sheetFormatPr defaultRowHeight="14.4" x14ac:dyDescent="0.3"/>
  <cols>
    <col min="1" max="1" width="27.77734375" customWidth="1"/>
    <col min="2" max="2" width="25.21875" customWidth="1"/>
    <col min="3" max="3" width="19" customWidth="1"/>
    <col min="4" max="4" width="16.5546875" bestFit="1" customWidth="1"/>
    <col min="5" max="5" width="14.5546875" customWidth="1"/>
  </cols>
  <sheetData>
    <row r="2" spans="1:5" ht="25.8" x14ac:dyDescent="0.5">
      <c r="A2" s="20" t="s">
        <v>10</v>
      </c>
    </row>
    <row r="3" spans="1:5" ht="17.25" customHeight="1" x14ac:dyDescent="0.3">
      <c r="A3" s="31" t="s">
        <v>73</v>
      </c>
    </row>
    <row r="4" spans="1:5" ht="17.25" customHeight="1" x14ac:dyDescent="0.3">
      <c r="A4" s="31" t="s">
        <v>39</v>
      </c>
    </row>
    <row r="5" spans="1:5" ht="15" customHeight="1" x14ac:dyDescent="0.3">
      <c r="A5" s="1" t="s">
        <v>35</v>
      </c>
      <c r="B5">
        <f>D15+D22+D29+D36+D43+D50+D57+D65+D73+D80</f>
        <v>589.84</v>
      </c>
    </row>
    <row r="6" spans="1:5" ht="15.75" customHeight="1" x14ac:dyDescent="0.3">
      <c r="A6" s="1" t="s">
        <v>36</v>
      </c>
      <c r="B6" s="30">
        <f>D14+D21+D28+D35+D42+D49+D56+D64+D72+D79</f>
        <v>1603697.7</v>
      </c>
    </row>
    <row r="7" spans="1:5" ht="16.5" customHeight="1" x14ac:dyDescent="0.45">
      <c r="A7" s="1" t="s">
        <v>37</v>
      </c>
      <c r="B7" s="34">
        <f>B6/B5</f>
        <v>2718.86901532619</v>
      </c>
      <c r="C7" t="s">
        <v>40</v>
      </c>
    </row>
    <row r="8" spans="1:5" ht="19.5" customHeight="1" x14ac:dyDescent="0.3"/>
    <row r="9" spans="1:5" s="19" customFormat="1" ht="23.4" x14ac:dyDescent="0.45">
      <c r="A9" s="18" t="s">
        <v>34</v>
      </c>
    </row>
    <row r="10" spans="1:5" s="17" customFormat="1" x14ac:dyDescent="0.3">
      <c r="A10" s="17" t="s">
        <v>14</v>
      </c>
      <c r="B10" s="17" t="s">
        <v>12</v>
      </c>
      <c r="C10" s="17" t="s">
        <v>13</v>
      </c>
      <c r="D10" s="17" t="s">
        <v>15</v>
      </c>
    </row>
    <row r="11" spans="1:5" x14ac:dyDescent="0.3">
      <c r="A11" t="s">
        <v>11</v>
      </c>
      <c r="B11" s="29">
        <v>73.95</v>
      </c>
      <c r="C11" s="23">
        <v>1241</v>
      </c>
      <c r="D11" s="24">
        <f>B11*C11</f>
        <v>91771.95</v>
      </c>
    </row>
    <row r="12" spans="1:5" x14ac:dyDescent="0.3">
      <c r="A12" t="s">
        <v>62</v>
      </c>
      <c r="B12" s="29">
        <v>73.95</v>
      </c>
      <c r="C12" s="23">
        <v>2161</v>
      </c>
      <c r="D12" s="24">
        <f>B12*C12</f>
        <v>159805.95000000001</v>
      </c>
    </row>
    <row r="13" spans="1:5" x14ac:dyDescent="0.3">
      <c r="B13" s="23"/>
      <c r="C13" s="23"/>
      <c r="D13" s="23"/>
    </row>
    <row r="14" spans="1:5" x14ac:dyDescent="0.3">
      <c r="B14" s="23"/>
      <c r="C14" s="25" t="s">
        <v>16</v>
      </c>
      <c r="D14" s="26">
        <f>SUM(D11:D12)</f>
        <v>251577.90000000002</v>
      </c>
    </row>
    <row r="15" spans="1:5" x14ac:dyDescent="0.3">
      <c r="C15" s="28" t="s">
        <v>12</v>
      </c>
      <c r="D15" s="28">
        <v>73.95</v>
      </c>
      <c r="E15" s="30">
        <f>D14/D15</f>
        <v>3402</v>
      </c>
    </row>
    <row r="17" spans="1:5" ht="23.4" x14ac:dyDescent="0.45">
      <c r="A17" s="18" t="s">
        <v>17</v>
      </c>
      <c r="B17" s="19"/>
      <c r="C17" s="19"/>
      <c r="D17" s="19"/>
    </row>
    <row r="18" spans="1:5" x14ac:dyDescent="0.3">
      <c r="A18" s="17" t="s">
        <v>14</v>
      </c>
      <c r="B18" s="17" t="s">
        <v>12</v>
      </c>
      <c r="C18" s="17" t="s">
        <v>13</v>
      </c>
      <c r="D18" s="17" t="s">
        <v>15</v>
      </c>
    </row>
    <row r="19" spans="1:5" x14ac:dyDescent="0.3">
      <c r="A19" s="23" t="s">
        <v>63</v>
      </c>
      <c r="B19" s="29">
        <v>57.41</v>
      </c>
      <c r="C19" s="23">
        <v>4600</v>
      </c>
      <c r="D19" s="24">
        <f>B19*C19</f>
        <v>264086</v>
      </c>
    </row>
    <row r="20" spans="1:5" x14ac:dyDescent="0.3">
      <c r="A20" s="23"/>
      <c r="B20" s="23"/>
      <c r="C20" s="23"/>
      <c r="D20" s="23"/>
    </row>
    <row r="21" spans="1:5" x14ac:dyDescent="0.3">
      <c r="A21" s="23"/>
      <c r="B21" s="23"/>
      <c r="C21" s="25" t="s">
        <v>16</v>
      </c>
      <c r="D21" s="26">
        <f>SUM(D19:D19)</f>
        <v>264086</v>
      </c>
    </row>
    <row r="22" spans="1:5" x14ac:dyDescent="0.3">
      <c r="C22" s="28" t="s">
        <v>12</v>
      </c>
      <c r="D22" s="28">
        <v>57.41</v>
      </c>
      <c r="E22" s="30">
        <f>D21/D22</f>
        <v>4600</v>
      </c>
    </row>
    <row r="24" spans="1:5" ht="23.4" x14ac:dyDescent="0.45">
      <c r="A24" s="18" t="s">
        <v>18</v>
      </c>
      <c r="B24" s="19"/>
      <c r="C24" s="19"/>
      <c r="D24" s="19"/>
    </row>
    <row r="25" spans="1:5" x14ac:dyDescent="0.3">
      <c r="A25" s="17" t="s">
        <v>14</v>
      </c>
      <c r="B25" s="17" t="s">
        <v>12</v>
      </c>
      <c r="C25" s="17" t="s">
        <v>13</v>
      </c>
      <c r="D25" s="17" t="s">
        <v>15</v>
      </c>
    </row>
    <row r="26" spans="1:5" x14ac:dyDescent="0.3">
      <c r="A26" s="23" t="s">
        <v>64</v>
      </c>
      <c r="B26" s="29">
        <v>49.7</v>
      </c>
      <c r="C26" s="23">
        <v>4400</v>
      </c>
      <c r="D26" s="24">
        <f>B26*C26</f>
        <v>218680</v>
      </c>
    </row>
    <row r="27" spans="1:5" x14ac:dyDescent="0.3">
      <c r="A27" s="23"/>
      <c r="B27" s="23"/>
      <c r="C27" s="23"/>
      <c r="D27" s="24"/>
    </row>
    <row r="28" spans="1:5" x14ac:dyDescent="0.3">
      <c r="A28" s="23"/>
      <c r="B28" s="23"/>
      <c r="C28" s="25" t="s">
        <v>16</v>
      </c>
      <c r="D28" s="26">
        <f>SUM(D26:D26)</f>
        <v>218680</v>
      </c>
    </row>
    <row r="29" spans="1:5" x14ac:dyDescent="0.3">
      <c r="A29" s="23"/>
      <c r="B29" s="23"/>
      <c r="C29" s="28" t="s">
        <v>12</v>
      </c>
      <c r="D29" s="28">
        <v>55.67</v>
      </c>
      <c r="E29" s="30">
        <f>D28/D29</f>
        <v>3928.1480150889165</v>
      </c>
    </row>
    <row r="31" spans="1:5" ht="23.4" x14ac:dyDescent="0.45">
      <c r="A31" s="18" t="s">
        <v>19</v>
      </c>
      <c r="B31" s="19"/>
      <c r="C31" s="19"/>
      <c r="D31" s="19"/>
    </row>
    <row r="32" spans="1:5" x14ac:dyDescent="0.3">
      <c r="A32" s="17" t="s">
        <v>14</v>
      </c>
      <c r="B32" s="17" t="s">
        <v>12</v>
      </c>
      <c r="C32" s="17" t="s">
        <v>13</v>
      </c>
      <c r="D32" s="17" t="s">
        <v>15</v>
      </c>
    </row>
    <row r="33" spans="1:5" x14ac:dyDescent="0.3">
      <c r="A33" t="s">
        <v>65</v>
      </c>
      <c r="B33">
        <v>60.33</v>
      </c>
      <c r="C33" s="23">
        <v>1640</v>
      </c>
      <c r="D33" s="24">
        <f>B33*C33</f>
        <v>98941.2</v>
      </c>
    </row>
    <row r="35" spans="1:5" x14ac:dyDescent="0.3">
      <c r="C35" s="21" t="s">
        <v>16</v>
      </c>
      <c r="D35" s="26">
        <f>SUM(D33:D33)</f>
        <v>98941.2</v>
      </c>
    </row>
    <row r="36" spans="1:5" x14ac:dyDescent="0.3">
      <c r="C36" s="28" t="s">
        <v>12</v>
      </c>
      <c r="D36" s="28">
        <v>60.33</v>
      </c>
      <c r="E36" s="30">
        <f>D35/D36</f>
        <v>1640</v>
      </c>
    </row>
    <row r="38" spans="1:5" ht="23.4" x14ac:dyDescent="0.45">
      <c r="A38" s="18" t="s">
        <v>20</v>
      </c>
      <c r="B38" s="19"/>
      <c r="C38" s="19"/>
      <c r="D38" s="19"/>
    </row>
    <row r="39" spans="1:5" x14ac:dyDescent="0.3">
      <c r="A39" s="17" t="s">
        <v>14</v>
      </c>
      <c r="B39" s="17" t="s">
        <v>12</v>
      </c>
      <c r="C39" s="17" t="s">
        <v>13</v>
      </c>
      <c r="D39" s="17" t="s">
        <v>15</v>
      </c>
    </row>
    <row r="40" spans="1:5" x14ac:dyDescent="0.3">
      <c r="A40" t="s">
        <v>66</v>
      </c>
      <c r="B40">
        <v>67.650000000000006</v>
      </c>
      <c r="C40" s="23">
        <v>2550</v>
      </c>
      <c r="D40" s="24">
        <f>B40*C40</f>
        <v>172507.5</v>
      </c>
    </row>
    <row r="41" spans="1:5" x14ac:dyDescent="0.3">
      <c r="D41" s="22"/>
    </row>
    <row r="42" spans="1:5" x14ac:dyDescent="0.3">
      <c r="C42" s="21" t="s">
        <v>16</v>
      </c>
      <c r="D42" s="26">
        <f>SUM(D40:D40)</f>
        <v>172507.5</v>
      </c>
    </row>
    <row r="43" spans="1:5" x14ac:dyDescent="0.3">
      <c r="C43" s="28" t="s">
        <v>12</v>
      </c>
      <c r="D43" s="28">
        <v>67.650000000000006</v>
      </c>
      <c r="E43" s="30">
        <f>D42/D43</f>
        <v>2550</v>
      </c>
    </row>
    <row r="45" spans="1:5" ht="23.4" x14ac:dyDescent="0.45">
      <c r="A45" s="18" t="s">
        <v>21</v>
      </c>
      <c r="B45" s="19"/>
      <c r="C45" s="19"/>
      <c r="D45" s="19"/>
    </row>
    <row r="46" spans="1:5" x14ac:dyDescent="0.3">
      <c r="A46" s="17" t="s">
        <v>14</v>
      </c>
      <c r="B46" s="17" t="s">
        <v>12</v>
      </c>
      <c r="C46" s="17" t="s">
        <v>13</v>
      </c>
      <c r="D46" s="17" t="s">
        <v>15</v>
      </c>
    </row>
    <row r="47" spans="1:5" x14ac:dyDescent="0.3">
      <c r="A47" t="s">
        <v>67</v>
      </c>
      <c r="B47">
        <v>55.37</v>
      </c>
      <c r="C47" s="23">
        <v>1680</v>
      </c>
      <c r="D47" s="24">
        <f>B47*C47</f>
        <v>93021.599999999991</v>
      </c>
    </row>
    <row r="48" spans="1:5" x14ac:dyDescent="0.3">
      <c r="C48" s="23"/>
      <c r="D48" s="23"/>
    </row>
    <row r="49" spans="1:5" x14ac:dyDescent="0.3">
      <c r="C49" s="25" t="s">
        <v>16</v>
      </c>
      <c r="D49" s="26">
        <f>SUM(D47:D47)</f>
        <v>93021.599999999991</v>
      </c>
    </row>
    <row r="50" spans="1:5" x14ac:dyDescent="0.3">
      <c r="C50" s="28" t="s">
        <v>12</v>
      </c>
      <c r="D50" s="28">
        <v>55.37</v>
      </c>
      <c r="E50" s="30">
        <f>D49/D50</f>
        <v>1680</v>
      </c>
    </row>
    <row r="52" spans="1:5" ht="23.4" x14ac:dyDescent="0.45">
      <c r="A52" s="18" t="s">
        <v>22</v>
      </c>
      <c r="B52" s="19"/>
      <c r="C52" s="19"/>
      <c r="D52" s="19"/>
    </row>
    <row r="53" spans="1:5" x14ac:dyDescent="0.3">
      <c r="A53" s="17" t="s">
        <v>14</v>
      </c>
      <c r="B53" s="17" t="s">
        <v>12</v>
      </c>
      <c r="C53" s="17" t="s">
        <v>13</v>
      </c>
      <c r="D53" s="17" t="s">
        <v>15</v>
      </c>
      <c r="E53" s="17" t="s">
        <v>44</v>
      </c>
    </row>
    <row r="54" spans="1:5" x14ac:dyDescent="0.3">
      <c r="A54" t="s">
        <v>23</v>
      </c>
      <c r="B54">
        <v>67.83</v>
      </c>
      <c r="C54" s="23">
        <v>1350</v>
      </c>
      <c r="D54" s="24">
        <f>B54*C54</f>
        <v>91570.5</v>
      </c>
    </row>
    <row r="55" spans="1:5" x14ac:dyDescent="0.3">
      <c r="C55" s="23"/>
      <c r="D55" s="24"/>
    </row>
    <row r="56" spans="1:5" x14ac:dyDescent="0.3">
      <c r="C56" s="25" t="s">
        <v>16</v>
      </c>
      <c r="D56" s="26">
        <f>SUM(D54:D54)</f>
        <v>91570.5</v>
      </c>
    </row>
    <row r="57" spans="1:5" x14ac:dyDescent="0.3">
      <c r="C57" s="28" t="s">
        <v>12</v>
      </c>
      <c r="D57" s="28">
        <v>67.83</v>
      </c>
      <c r="E57" s="30">
        <f>D54/D57</f>
        <v>1350</v>
      </c>
    </row>
    <row r="59" spans="1:5" ht="23.4" x14ac:dyDescent="0.45">
      <c r="A59" s="18" t="s">
        <v>24</v>
      </c>
      <c r="B59" s="19"/>
      <c r="C59" s="19"/>
      <c r="D59" s="19"/>
    </row>
    <row r="60" spans="1:5" x14ac:dyDescent="0.3">
      <c r="A60" s="17" t="s">
        <v>14</v>
      </c>
      <c r="B60" s="17" t="s">
        <v>12</v>
      </c>
      <c r="C60" s="17" t="s">
        <v>13</v>
      </c>
      <c r="D60" s="17" t="s">
        <v>15</v>
      </c>
    </row>
    <row r="61" spans="1:5" x14ac:dyDescent="0.3">
      <c r="A61" t="s">
        <v>68</v>
      </c>
      <c r="B61">
        <v>70.78</v>
      </c>
      <c r="C61" s="23">
        <v>1750</v>
      </c>
      <c r="D61" s="24">
        <f>B61*C61</f>
        <v>123865</v>
      </c>
    </row>
    <row r="62" spans="1:5" x14ac:dyDescent="0.3">
      <c r="A62" t="s">
        <v>69</v>
      </c>
      <c r="B62">
        <v>70.78</v>
      </c>
      <c r="C62" s="23">
        <v>1200</v>
      </c>
      <c r="D62" s="24">
        <f t="shared" ref="D62" si="0">B62*C62</f>
        <v>84936</v>
      </c>
    </row>
    <row r="63" spans="1:5" x14ac:dyDescent="0.3">
      <c r="C63" s="23"/>
      <c r="D63" s="23"/>
    </row>
    <row r="64" spans="1:5" x14ac:dyDescent="0.3">
      <c r="C64" s="23"/>
      <c r="D64" s="26">
        <f>SUM(D61:D62)</f>
        <v>208801</v>
      </c>
    </row>
    <row r="65" spans="1:5" x14ac:dyDescent="0.3">
      <c r="C65" s="28" t="s">
        <v>12</v>
      </c>
      <c r="D65" s="28">
        <v>70.78</v>
      </c>
      <c r="E65" s="30">
        <f>D64/D65</f>
        <v>2950</v>
      </c>
    </row>
    <row r="67" spans="1:5" ht="23.4" x14ac:dyDescent="0.45">
      <c r="A67" s="18" t="s">
        <v>25</v>
      </c>
      <c r="B67" s="19"/>
      <c r="C67" s="19"/>
      <c r="D67" s="19"/>
    </row>
    <row r="68" spans="1:5" x14ac:dyDescent="0.3">
      <c r="A68" s="17" t="s">
        <v>14</v>
      </c>
      <c r="B68" s="17" t="s">
        <v>12</v>
      </c>
      <c r="C68" s="17" t="s">
        <v>13</v>
      </c>
      <c r="D68" s="17" t="s">
        <v>15</v>
      </c>
    </row>
    <row r="69" spans="1:5" x14ac:dyDescent="0.3">
      <c r="A69" t="s">
        <v>70</v>
      </c>
      <c r="B69">
        <v>49.1</v>
      </c>
      <c r="C69" s="23">
        <v>1200</v>
      </c>
      <c r="D69" s="24">
        <f>B69*C69</f>
        <v>58920</v>
      </c>
    </row>
    <row r="70" spans="1:5" x14ac:dyDescent="0.3">
      <c r="A70" t="s">
        <v>71</v>
      </c>
      <c r="B70">
        <v>49.1</v>
      </c>
      <c r="C70" s="23">
        <v>120</v>
      </c>
      <c r="D70" s="24">
        <f>B70*C70</f>
        <v>5892</v>
      </c>
    </row>
    <row r="71" spans="1:5" x14ac:dyDescent="0.3">
      <c r="C71" s="23"/>
      <c r="D71" s="23"/>
    </row>
    <row r="72" spans="1:5" x14ac:dyDescent="0.3">
      <c r="C72" s="25" t="s">
        <v>16</v>
      </c>
      <c r="D72" s="26">
        <f>SUM(D69:D70)</f>
        <v>64812</v>
      </c>
    </row>
    <row r="73" spans="1:5" x14ac:dyDescent="0.3">
      <c r="C73" s="28" t="s">
        <v>12</v>
      </c>
      <c r="D73" s="28">
        <v>49.1</v>
      </c>
      <c r="E73" s="30">
        <f>D72/D73</f>
        <v>1320</v>
      </c>
    </row>
    <row r="75" spans="1:5" ht="23.4" x14ac:dyDescent="0.45">
      <c r="A75" s="18" t="s">
        <v>26</v>
      </c>
      <c r="B75" s="19"/>
      <c r="C75" s="19"/>
      <c r="D75" s="19"/>
    </row>
    <row r="76" spans="1:5" x14ac:dyDescent="0.3">
      <c r="A76" s="17" t="s">
        <v>14</v>
      </c>
      <c r="B76" s="17" t="s">
        <v>12</v>
      </c>
      <c r="C76" s="17" t="s">
        <v>13</v>
      </c>
      <c r="D76" s="17" t="s">
        <v>15</v>
      </c>
    </row>
    <row r="77" spans="1:5" x14ac:dyDescent="0.3">
      <c r="A77" t="s">
        <v>72</v>
      </c>
      <c r="B77">
        <v>31.75</v>
      </c>
      <c r="C77" s="23">
        <v>4400</v>
      </c>
      <c r="D77" s="24">
        <f>B77*C77</f>
        <v>139700</v>
      </c>
    </row>
    <row r="78" spans="1:5" x14ac:dyDescent="0.3">
      <c r="C78" s="23"/>
      <c r="D78" s="23"/>
    </row>
    <row r="79" spans="1:5" x14ac:dyDescent="0.3">
      <c r="C79" s="25" t="s">
        <v>16</v>
      </c>
      <c r="D79" s="26">
        <f>SUM(D77:D77)</f>
        <v>139700</v>
      </c>
    </row>
    <row r="80" spans="1:5" x14ac:dyDescent="0.3">
      <c r="C80" s="28" t="s">
        <v>12</v>
      </c>
      <c r="D80" s="28">
        <v>31.75</v>
      </c>
      <c r="E80" s="30">
        <f>D79/D80</f>
        <v>4400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7AC0-8527-46AC-BC68-2DC6CB676BAB}">
  <dimension ref="A1:B9"/>
  <sheetViews>
    <sheetView workbookViewId="0">
      <selection activeCell="F15" sqref="F15"/>
    </sheetView>
  </sheetViews>
  <sheetFormatPr defaultRowHeight="14.4" x14ac:dyDescent="0.3"/>
  <cols>
    <col min="1" max="1" width="23.5546875" customWidth="1"/>
  </cols>
  <sheetData>
    <row r="1" spans="1:2" x14ac:dyDescent="0.3">
      <c r="B1" s="41"/>
    </row>
    <row r="2" spans="1:2" x14ac:dyDescent="0.3">
      <c r="A2" t="s">
        <v>27</v>
      </c>
      <c r="B2" s="41">
        <v>8000</v>
      </c>
    </row>
    <row r="3" spans="1:2" x14ac:dyDescent="0.3">
      <c r="A3" t="s">
        <v>28</v>
      </c>
      <c r="B3" s="41" t="s">
        <v>29</v>
      </c>
    </row>
    <row r="4" spans="1:2" x14ac:dyDescent="0.3">
      <c r="A4" t="s">
        <v>30</v>
      </c>
      <c r="B4" s="41" t="s">
        <v>31</v>
      </c>
    </row>
    <row r="5" spans="1:2" x14ac:dyDescent="0.3">
      <c r="A5" t="s">
        <v>28</v>
      </c>
      <c r="B5" s="41">
        <v>1700</v>
      </c>
    </row>
    <row r="6" spans="1:2" x14ac:dyDescent="0.3">
      <c r="A6" t="s">
        <v>50</v>
      </c>
      <c r="B6" s="41">
        <v>1600</v>
      </c>
    </row>
    <row r="8" spans="1:2" x14ac:dyDescent="0.3">
      <c r="A8" t="s">
        <v>32</v>
      </c>
    </row>
    <row r="9" spans="1:2" x14ac:dyDescent="0.3">
      <c r="A9" s="27" t="s">
        <v>33</v>
      </c>
    </row>
  </sheetData>
  <hyperlinks>
    <hyperlink ref="A9" r:id="rId1" display="https://klfnet.dk/fileadmin/6._Loen_og_ansaettelse/Forhaandsaftaler/Forhaandsaftale_KBH_2022-03-29_underskrevet.pdf" xr:uid="{8C6733BE-C78A-411A-8578-3C0C5AB196B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E670-1099-4B24-9F29-6AC4F44B4BA2}">
  <dimension ref="A1:E8"/>
  <sheetViews>
    <sheetView workbookViewId="0">
      <selection activeCell="B9" sqref="B9"/>
    </sheetView>
  </sheetViews>
  <sheetFormatPr defaultRowHeight="14.4" x14ac:dyDescent="0.3"/>
  <cols>
    <col min="1" max="1" width="21" style="32" customWidth="1"/>
    <col min="2" max="2" width="13.77734375" customWidth="1"/>
    <col min="3" max="3" width="11" bestFit="1" customWidth="1"/>
    <col min="5" max="5" width="9.77734375" bestFit="1" customWidth="1"/>
  </cols>
  <sheetData>
    <row r="1" spans="1:5" x14ac:dyDescent="0.3">
      <c r="A1" s="32" t="s">
        <v>38</v>
      </c>
      <c r="B1">
        <v>1.4983040000000001</v>
      </c>
      <c r="E1">
        <v>1.602921</v>
      </c>
    </row>
    <row r="3" spans="1:5" x14ac:dyDescent="0.3">
      <c r="A3" s="33">
        <v>31</v>
      </c>
      <c r="B3" s="35">
        <f>30845.9166666667/B1</f>
        <v>20587.221729813642</v>
      </c>
      <c r="E3" s="37">
        <f>32999.6666666667/E1</f>
        <v>20587.207146619639</v>
      </c>
    </row>
    <row r="4" spans="1:5" x14ac:dyDescent="0.3">
      <c r="A4" s="33" t="s">
        <v>41</v>
      </c>
      <c r="B4" s="35">
        <f>(
32641.75/B1)-(30845.92/B1)</f>
        <v>1198.5751890137108</v>
      </c>
    </row>
    <row r="5" spans="1:5" x14ac:dyDescent="0.3">
      <c r="A5" s="32">
        <f>A3+4</f>
        <v>35</v>
      </c>
      <c r="B5" s="36">
        <f>32641.75/B1</f>
        <v>21785.799143564989</v>
      </c>
    </row>
    <row r="6" spans="1:5" x14ac:dyDescent="0.3">
      <c r="A6" s="32" t="s">
        <v>42</v>
      </c>
      <c r="B6" s="36">
        <f>(34594.0833333333/B1)-(32641.75/B1)</f>
        <v>1303.0288468383587</v>
      </c>
    </row>
    <row r="7" spans="1:5" x14ac:dyDescent="0.3">
      <c r="A7" s="32">
        <v>40</v>
      </c>
      <c r="B7" s="36">
        <f>35100.75/B1</f>
        <v>23426.988114561529</v>
      </c>
    </row>
    <row r="8" spans="1:5" x14ac:dyDescent="0.3">
      <c r="A8" s="32" t="s">
        <v>43</v>
      </c>
      <c r="B8" s="36">
        <f>(37764.75/B1)-(35100.75/B1)</f>
        <v>1778.01033702106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lønsammenligning</vt:lpstr>
      <vt:lpstr>Optælling Fredeiksberg</vt:lpstr>
      <vt:lpstr>fordelt i København</vt:lpstr>
      <vt:lpstr>løntrin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Hansen</dc:creator>
  <cp:lastModifiedBy>Lasse Hansen</cp:lastModifiedBy>
  <cp:lastPrinted>2026-03-27T14:35:15Z</cp:lastPrinted>
  <dcterms:created xsi:type="dcterms:W3CDTF">2022-01-26T09:42:04Z</dcterms:created>
  <dcterms:modified xsi:type="dcterms:W3CDTF">2026-03-27T14:45:07Z</dcterms:modified>
</cp:coreProperties>
</file>